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812F" lockStructure="1"/>
  <bookViews>
    <workbookView xWindow="240" yWindow="105" windowWidth="14805" windowHeight="8010"/>
  </bookViews>
  <sheets>
    <sheet name="РГ-Т" sheetId="1" r:id="rId1"/>
    <sheet name="Лист2" sheetId="2" state="hidden" r:id="rId2"/>
    <sheet name="Лист3" sheetId="4" state="hidden" r:id="rId3"/>
  </sheets>
  <calcPr calcId="145621"/>
</workbook>
</file>

<file path=xl/calcChain.xml><?xml version="1.0" encoding="utf-8"?>
<calcChain xmlns="http://schemas.openxmlformats.org/spreadsheetml/2006/main">
  <c r="E12" i="2" l="1"/>
  <c r="C14" i="2"/>
  <c r="D22" i="2"/>
  <c r="C16" i="2"/>
  <c r="C6" i="2" l="1"/>
  <c r="D56" i="4" s="1"/>
  <c r="C5" i="2"/>
  <c r="B15" i="2" s="1"/>
  <c r="C4" i="2"/>
  <c r="C3" i="2"/>
  <c r="C2" i="2"/>
  <c r="C8" i="2" l="1"/>
  <c r="F17" i="1" s="1"/>
  <c r="C9" i="2"/>
  <c r="F19" i="1" s="1"/>
  <c r="I4" i="4" l="1"/>
  <c r="I8" i="4"/>
  <c r="I12" i="4"/>
  <c r="I16" i="4"/>
  <c r="I20" i="4"/>
  <c r="I24" i="4"/>
  <c r="I28" i="4"/>
  <c r="I32" i="4"/>
  <c r="I36" i="4"/>
  <c r="I40" i="4"/>
  <c r="I44" i="4"/>
  <c r="I48" i="4"/>
  <c r="I7" i="4"/>
  <c r="I15" i="4"/>
  <c r="I19" i="4"/>
  <c r="I27" i="4"/>
  <c r="I31" i="4"/>
  <c r="I39" i="4"/>
  <c r="I47" i="4"/>
  <c r="I5" i="4"/>
  <c r="I9" i="4"/>
  <c r="I13" i="4"/>
  <c r="I17" i="4"/>
  <c r="I21" i="4"/>
  <c r="I25" i="4"/>
  <c r="I29" i="4"/>
  <c r="I33" i="4"/>
  <c r="I37" i="4"/>
  <c r="I41" i="4"/>
  <c r="I45" i="4"/>
  <c r="I49" i="4"/>
  <c r="I3" i="4"/>
  <c r="I11" i="4"/>
  <c r="I23" i="4"/>
  <c r="I35" i="4"/>
  <c r="I43" i="4"/>
  <c r="I6" i="4"/>
  <c r="I10" i="4"/>
  <c r="I14" i="4"/>
  <c r="I18" i="4"/>
  <c r="I22" i="4"/>
  <c r="I26" i="4"/>
  <c r="I30" i="4"/>
  <c r="I34" i="4"/>
  <c r="I38" i="4"/>
  <c r="I42" i="4"/>
  <c r="I46" i="4"/>
  <c r="H5" i="4"/>
  <c r="H9" i="4"/>
  <c r="H13" i="4"/>
  <c r="H17" i="4"/>
  <c r="H21" i="4"/>
  <c r="H25" i="4"/>
  <c r="H29" i="4"/>
  <c r="H33" i="4"/>
  <c r="H37" i="4"/>
  <c r="H41" i="4"/>
  <c r="H49" i="4"/>
  <c r="H3" i="4"/>
  <c r="H11" i="4"/>
  <c r="H23" i="4"/>
  <c r="H31" i="4"/>
  <c r="H39" i="4"/>
  <c r="H47" i="4"/>
  <c r="H6" i="4"/>
  <c r="H10" i="4"/>
  <c r="H14" i="4"/>
  <c r="H18" i="4"/>
  <c r="H22" i="4"/>
  <c r="H26" i="4"/>
  <c r="H30" i="4"/>
  <c r="H34" i="4"/>
  <c r="H38" i="4"/>
  <c r="H42" i="4"/>
  <c r="H46" i="4"/>
  <c r="H4" i="4"/>
  <c r="H8" i="4"/>
  <c r="H12" i="4"/>
  <c r="H16" i="4"/>
  <c r="H20" i="4"/>
  <c r="H24" i="4"/>
  <c r="H28" i="4"/>
  <c r="H32" i="4"/>
  <c r="H36" i="4"/>
  <c r="H40" i="4"/>
  <c r="H44" i="4"/>
  <c r="H48" i="4"/>
  <c r="K55" i="4"/>
  <c r="H45" i="4"/>
  <c r="H7" i="4"/>
  <c r="H15" i="4"/>
  <c r="H19" i="4"/>
  <c r="H27" i="4"/>
  <c r="H35" i="4"/>
  <c r="H43" i="4"/>
  <c r="K52" i="4" l="1"/>
  <c r="D59" i="4" s="1"/>
  <c r="K58" i="4" s="1"/>
  <c r="D62" i="4" s="1"/>
  <c r="K61" i="4" s="1"/>
  <c r="B16" i="2" s="1"/>
  <c r="B24" i="2" l="1"/>
  <c r="C24" i="2" s="1"/>
  <c r="B65" i="4"/>
  <c r="C66" i="4" s="1"/>
  <c r="B13" i="2" s="1"/>
  <c r="D66" i="4" l="1"/>
  <c r="B14" i="2" s="1"/>
  <c r="E66" i="4"/>
  <c r="B17" i="2" s="1"/>
  <c r="B11" i="2" l="1"/>
  <c r="B3" i="1" s="1"/>
  <c r="E25" i="2"/>
  <c r="B23" i="2"/>
  <c r="B25" i="2" l="1"/>
  <c r="D24" i="2"/>
  <c r="C23" i="2"/>
  <c r="D23" i="2" s="1"/>
  <c r="C25" i="2" l="1"/>
  <c r="D25" i="2" s="1"/>
  <c r="D28" i="2" s="1"/>
  <c r="B24" i="1" l="1"/>
</calcChain>
</file>

<file path=xl/sharedStrings.xml><?xml version="1.0" encoding="utf-8"?>
<sst xmlns="http://schemas.openxmlformats.org/spreadsheetml/2006/main" count="224" uniqueCount="61">
  <si>
    <t>Условный диаметр, мм</t>
  </si>
  <si>
    <t>Qmin</t>
  </si>
  <si>
    <t>Qmax</t>
  </si>
  <si>
    <t>Pmin</t>
  </si>
  <si>
    <t>Pmax</t>
  </si>
  <si>
    <t>DN</t>
  </si>
  <si>
    <t>Вар. DN</t>
  </si>
  <si>
    <t>Qmin.p</t>
  </si>
  <si>
    <t>Qmax.p</t>
  </si>
  <si>
    <t>Pc</t>
  </si>
  <si>
    <t>1:30</t>
  </si>
  <si>
    <t>1:50</t>
  </si>
  <si>
    <t>G65</t>
  </si>
  <si>
    <t>G100</t>
  </si>
  <si>
    <t>G160</t>
  </si>
  <si>
    <t>G250</t>
  </si>
  <si>
    <t>G400</t>
  </si>
  <si>
    <t>G650</t>
  </si>
  <si>
    <t>G1000</t>
  </si>
  <si>
    <t>A</t>
  </si>
  <si>
    <t>B</t>
  </si>
  <si>
    <t>C</t>
  </si>
  <si>
    <t>D</t>
  </si>
  <si>
    <t>E</t>
  </si>
  <si>
    <t>F</t>
  </si>
  <si>
    <t>G</t>
  </si>
  <si>
    <r>
      <t>Минимальный рабочий расход, м</t>
    </r>
    <r>
      <rPr>
        <sz val="11"/>
        <color theme="1"/>
        <rFont val="Calibri"/>
        <family val="2"/>
        <charset val="204"/>
      </rPr>
      <t>³/ч</t>
    </r>
  </si>
  <si>
    <r>
      <t>Максимальный рабочий расход, м</t>
    </r>
    <r>
      <rPr>
        <sz val="11"/>
        <color theme="1"/>
        <rFont val="Calibri"/>
        <family val="2"/>
        <charset val="204"/>
      </rPr>
      <t>³/ч</t>
    </r>
  </si>
  <si>
    <t>&gt;0</t>
  </si>
  <si>
    <t>U</t>
  </si>
  <si>
    <t>+</t>
  </si>
  <si>
    <t xml:space="preserve"> - мин. подходящий Ду</t>
  </si>
  <si>
    <t>O</t>
  </si>
  <si>
    <t xml:space="preserve"> - кол-во подх. записей с указанным Ду</t>
  </si>
  <si>
    <t xml:space="preserve"> - номер первой подходящей записи без 2У</t>
  </si>
  <si>
    <t xml:space="preserve"> - номер первой подходящей записи с 2У</t>
  </si>
  <si>
    <t xml:space="preserve"> - нужная запись</t>
  </si>
  <si>
    <t>[1]</t>
  </si>
  <si>
    <t>[2]</t>
  </si>
  <si>
    <t>[3]</t>
  </si>
  <si>
    <t>[4]</t>
  </si>
  <si>
    <t>Исп.</t>
  </si>
  <si>
    <t>О</t>
  </si>
  <si>
    <t>2У</t>
  </si>
  <si>
    <t>Нет подходящего типоразмера для заданных условий.</t>
  </si>
  <si>
    <t>Для данных параметров недоступно исполнение "2У".</t>
  </si>
  <si>
    <t>.</t>
  </si>
  <si>
    <t>1. Заполните все обязательные поля</t>
  </si>
  <si>
    <r>
      <t>Минимальный расход, м</t>
    </r>
    <r>
      <rPr>
        <sz val="11"/>
        <color theme="1"/>
        <rFont val="Calibri"/>
        <family val="2"/>
        <charset val="204"/>
      </rPr>
      <t xml:space="preserve">³/ч </t>
    </r>
    <r>
      <rPr>
        <sz val="11"/>
        <color rgb="FFFF0000"/>
        <rFont val="Calibri"/>
        <family val="2"/>
        <charset val="204"/>
      </rPr>
      <t>*</t>
    </r>
  </si>
  <si>
    <r>
      <t>Максимальный расход, м</t>
    </r>
    <r>
      <rPr>
        <sz val="11"/>
        <color theme="1"/>
        <rFont val="Calibri"/>
        <family val="2"/>
        <charset val="204"/>
      </rPr>
      <t xml:space="preserve">³/ч </t>
    </r>
    <r>
      <rPr>
        <sz val="11"/>
        <color rgb="FFFF0000"/>
        <rFont val="Calibri"/>
        <family val="2"/>
        <charset val="204"/>
      </rPr>
      <t>*</t>
    </r>
  </si>
  <si>
    <r>
      <t xml:space="preserve">Минимальное изб. давление, МПа </t>
    </r>
    <r>
      <rPr>
        <sz val="11"/>
        <color rgb="FFFF0000"/>
        <rFont val="Calibri"/>
        <family val="2"/>
        <charset val="204"/>
        <scheme val="minor"/>
      </rPr>
      <t>*</t>
    </r>
  </si>
  <si>
    <r>
      <t xml:space="preserve">Максимальное изб. давление, МПа </t>
    </r>
    <r>
      <rPr>
        <sz val="11"/>
        <color rgb="FFFF0000"/>
        <rFont val="Calibri"/>
        <family val="2"/>
        <charset val="204"/>
        <scheme val="minor"/>
      </rPr>
      <t>*</t>
    </r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</si>
  <si>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scheme val="minor"/>
      </rPr>
      <t xml:space="preserve"> обязательные для заполнения поля</t>
    </r>
  </si>
  <si>
    <t>G1600</t>
  </si>
  <si>
    <t>1:20</t>
  </si>
  <si>
    <t>G2500</t>
  </si>
  <si>
    <t>G4000</t>
  </si>
  <si>
    <t>1:40</t>
  </si>
  <si>
    <t>РГ-Т</t>
  </si>
  <si>
    <t>[Х]</t>
  </si>
  <si>
    <t>– исполнение в зависимости от метрологических характеристик: «О» или «2У»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</si>
</sst>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0" xfId="0" quotePrefix="1" applyFont="1" applyAlignment="1">
      <alignment horizontal="left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0" fillId="2" borderId="1" xfId="0" applyFill="1" applyBorder="1" applyProtection="1">
      <protection locked="0"/>
    </xf>
    <xf numFmtId="164" fontId="0" fillId="0" borderId="0" xfId="0" applyNumberFormat="1" applyProtection="1">
      <protection hidden="1"/>
    </xf>
    <xf numFmtId="0" fontId="1" fillId="0" borderId="0" xfId="0" applyFont="1"/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NumberFormat="1" applyAlignment="1">
      <alignment horizontal="left" vertical="top" wrapText="1"/>
    </xf>
    <xf numFmtId="0" fontId="0" fillId="0" borderId="0" xfId="0" applyBorder="1"/>
    <xf numFmtId="49" fontId="0" fillId="0" borderId="0" xfId="0" applyNumberFormat="1" applyBorder="1" applyAlignment="1">
      <alignment horizontal="right"/>
    </xf>
    <xf numFmtId="2" fontId="0" fillId="0" borderId="0" xfId="0" applyNumberFormat="1" applyBorder="1"/>
    <xf numFmtId="165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8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6" tint="0.79998168889431442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theme="0" tint="-4.9989318521683403E-2"/>
        </patternFill>
      </fill>
      <border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0</xdr:row>
      <xdr:rowOff>104775</xdr:rowOff>
    </xdr:from>
    <xdr:to>
      <xdr:col>5</xdr:col>
      <xdr:colOff>523875</xdr:colOff>
      <xdr:row>1</xdr:row>
      <xdr:rowOff>866775</xdr:rowOff>
    </xdr:to>
    <xdr:pic>
      <xdr:nvPicPr>
        <xdr:cNvPr id="2" name="Рисунок 1" descr="Логотип ООО «РАСКО Газэлектроника»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29241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594717</xdr:colOff>
      <xdr:row>0</xdr:row>
      <xdr:rowOff>161925</xdr:rowOff>
    </xdr:from>
    <xdr:to>
      <xdr:col>14</xdr:col>
      <xdr:colOff>209550</xdr:colOff>
      <xdr:row>8</xdr:row>
      <xdr:rowOff>123825</xdr:rowOff>
    </xdr:to>
    <xdr:pic>
      <xdr:nvPicPr>
        <xdr:cNvPr id="4" name="Рисунок 3" descr="Ротационный счетчик газа РГ-Р G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117" y="161925"/>
          <a:ext cx="2662833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594717</xdr:colOff>
      <xdr:row>0</xdr:row>
      <xdr:rowOff>161925</xdr:rowOff>
    </xdr:from>
    <xdr:to>
      <xdr:col>15</xdr:col>
      <xdr:colOff>318492</xdr:colOff>
      <xdr:row>14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1117" y="161925"/>
          <a:ext cx="3381375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showGridLines="0" tabSelected="1" zoomScaleNormal="100" zoomScaleSheetLayoutView="100" workbookViewId="0">
      <selection activeCell="F5" sqref="F5"/>
    </sheetView>
  </sheetViews>
  <sheetFormatPr defaultRowHeight="15" x14ac:dyDescent="0.25"/>
  <sheetData>
    <row r="2" spans="2:6" ht="99.95" customHeight="1" x14ac:dyDescent="0.25"/>
    <row r="3" spans="2:6" ht="23.25" x14ac:dyDescent="0.35">
      <c r="B3" s="17" t="str">
        <f>Лист2!B11</f>
        <v>РГ-Т</v>
      </c>
    </row>
    <row r="5" spans="2:6" x14ac:dyDescent="0.25">
      <c r="B5" t="s">
        <v>48</v>
      </c>
      <c r="F5" s="18"/>
    </row>
    <row r="6" spans="2:6" ht="5.0999999999999996" customHeight="1" x14ac:dyDescent="0.25"/>
    <row r="7" spans="2:6" x14ac:dyDescent="0.25">
      <c r="B7" t="s">
        <v>49</v>
      </c>
      <c r="F7" s="18"/>
    </row>
    <row r="8" spans="2:6" ht="5.0999999999999996" customHeight="1" x14ac:dyDescent="0.25"/>
    <row r="9" spans="2:6" x14ac:dyDescent="0.25">
      <c r="B9" t="s">
        <v>50</v>
      </c>
      <c r="F9" s="18"/>
    </row>
    <row r="10" spans="2:6" ht="5.0999999999999996" customHeight="1" x14ac:dyDescent="0.25"/>
    <row r="11" spans="2:6" x14ac:dyDescent="0.25">
      <c r="B11" t="s">
        <v>51</v>
      </c>
      <c r="F11" s="18"/>
    </row>
    <row r="12" spans="2:6" ht="5.0999999999999996" customHeight="1" x14ac:dyDescent="0.25"/>
    <row r="13" spans="2:6" x14ac:dyDescent="0.25">
      <c r="B13" t="s">
        <v>0</v>
      </c>
      <c r="F13" s="15"/>
    </row>
    <row r="14" spans="2:6" ht="5.0999999999999996" customHeight="1" x14ac:dyDescent="0.25"/>
    <row r="15" spans="2:6" x14ac:dyDescent="0.25">
      <c r="B15" s="20" t="s">
        <v>52</v>
      </c>
    </row>
    <row r="17" spans="1:15" x14ac:dyDescent="0.25">
      <c r="B17" t="s">
        <v>26</v>
      </c>
      <c r="F17" s="19" t="str">
        <f>IF(Лист2!E12,Лист2!C8,"")</f>
        <v/>
      </c>
    </row>
    <row r="18" spans="1:15" ht="5.0999999999999996" customHeight="1" x14ac:dyDescent="0.25"/>
    <row r="19" spans="1:15" x14ac:dyDescent="0.25">
      <c r="B19" t="s">
        <v>27</v>
      </c>
      <c r="F19" s="19" t="str">
        <f>IF(Лист2!E12,Лист2!C9,"")</f>
        <v/>
      </c>
    </row>
    <row r="21" spans="1:15" x14ac:dyDescent="0.25">
      <c r="A21" s="14" t="s">
        <v>39</v>
      </c>
      <c r="B21" s="16" t="s">
        <v>42</v>
      </c>
      <c r="C21" s="7" t="s">
        <v>60</v>
      </c>
    </row>
    <row r="22" spans="1:15" ht="5.0999999999999996" customHeight="1" x14ac:dyDescent="0.25">
      <c r="A22" s="13"/>
    </row>
    <row r="24" spans="1:15" x14ac:dyDescent="0.25">
      <c r="B24" s="21" t="str">
        <f>Лист2!D28</f>
        <v>Примечания:
1. Заполните все обязательные поля</v>
      </c>
      <c r="C24" s="21"/>
      <c r="D24" s="21"/>
      <c r="E24" s="21"/>
      <c r="F24" s="21"/>
      <c r="G24" s="21"/>
      <c r="H24" s="21"/>
      <c r="I24" s="21"/>
    </row>
    <row r="25" spans="1:15" x14ac:dyDescent="0.25">
      <c r="B25" s="21"/>
      <c r="C25" s="21"/>
      <c r="D25" s="21"/>
      <c r="E25" s="21"/>
      <c r="F25" s="21"/>
      <c r="G25" s="21"/>
      <c r="H25" s="21"/>
      <c r="I25" s="21"/>
    </row>
    <row r="26" spans="1:15" x14ac:dyDescent="0.25">
      <c r="B26" s="21"/>
      <c r="C26" s="21"/>
      <c r="D26" s="21"/>
      <c r="E26" s="21"/>
      <c r="F26" s="21"/>
      <c r="G26" s="21"/>
      <c r="H26" s="21"/>
      <c r="I26" s="21"/>
    </row>
    <row r="27" spans="1:15" x14ac:dyDescent="0.25">
      <c r="B27" s="21"/>
      <c r="C27" s="21"/>
      <c r="D27" s="21"/>
      <c r="E27" s="21"/>
      <c r="F27" s="21"/>
      <c r="G27" s="21"/>
      <c r="H27" s="21"/>
      <c r="I27" s="21"/>
    </row>
    <row r="29" spans="1:15" x14ac:dyDescent="0.25">
      <c r="O29" s="13" t="s">
        <v>46</v>
      </c>
    </row>
  </sheetData>
  <sheetProtection password="C12E" sheet="1" objects="1" scenarios="1" selectLockedCells="1"/>
  <mergeCells count="1">
    <mergeCell ref="B24:I27"/>
  </mergeCells>
  <conditionalFormatting sqref="B24:I27">
    <cfRule type="containsText" dxfId="7" priority="1" operator="containsText" text="П">
      <formula>NOT(ISERROR(SEARCH("П",B24)))</formula>
    </cfRule>
    <cfRule type="containsText" dxfId="6" priority="2" operator="containsText" text="П">
      <formula>NOT(ISERROR(SEARCH("П",B24)))</formula>
    </cfRule>
    <cfRule type="containsText" dxfId="5" priority="3" operator="containsText" text="П">
      <formula>NOT(ISERROR(SEARCH("П",B24)))</formula>
    </cfRule>
    <cfRule type="containsText" dxfId="4" priority="4" operator="containsText" text="П">
      <formula>NOT(ISERROR(SEARCH("П",B24)))</formula>
    </cfRule>
    <cfRule type="containsText" dxfId="3" priority="5" operator="containsText" text="П">
      <formula>NOT(ISERROR(SEARCH("П",B24)))</formula>
    </cfRule>
  </conditionalFormatting>
  <dataValidations count="4">
    <dataValidation type="custom" allowBlank="1" showInputMessage="1" showErrorMessage="1" errorTitle="Ошибка" error="Миксимальный расход не может быть меньше минимального" sqref="F7">
      <formula1>F7&gt;=F5</formula1>
    </dataValidation>
    <dataValidation type="custom" allowBlank="1" showInputMessage="1" showErrorMessage="1" errorTitle="Ошибка" error="Расход не может быть отрицательным" sqref="F5">
      <formula1>F5&gt;=0</formula1>
    </dataValidation>
    <dataValidation type="custom" allowBlank="1" showInputMessage="1" showErrorMessage="1" errorTitle="Ошибка" error="Давление не может быть отрицательным и больше 10,0 МПа" sqref="F9">
      <formula1>AND(F9&gt;=0,F9&lt;=10)</formula1>
    </dataValidation>
    <dataValidation type="custom" allowBlank="1" showInputMessage="1" showErrorMessage="1" errorTitle="Ошибка" error="Максимальное давление не может быть меньше минимального и больше 10,0 МПа" sqref="F11">
      <formula1>AND(F11&gt;=F9,F11&lt;=10)</formula1>
    </dataValidation>
  </dataValidations>
  <pageMargins left="0.7" right="0.7" top="0.75" bottom="0.75" header="0.3" footer="0.3"/>
  <pageSetup paperSize="9" scale="64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Лист2!$E$3:$E$9</xm:f>
          </x14:formula1>
          <xm:sqref>F13</xm:sqref>
        </x14:dataValidation>
        <x14:dataValidation type="list" allowBlank="1" showInputMessage="1" showErrorMessage="1">
          <x14:formula1>
            <xm:f>Лист2!$F$3:$F$4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B1" sqref="B1"/>
    </sheetView>
  </sheetViews>
  <sheetFormatPr defaultRowHeight="15" x14ac:dyDescent="0.25"/>
  <sheetData>
    <row r="2" spans="1:10" x14ac:dyDescent="0.25">
      <c r="B2" t="s">
        <v>1</v>
      </c>
      <c r="C2">
        <f>'РГ-Т'!F5</f>
        <v>0</v>
      </c>
      <c r="E2" t="s">
        <v>6</v>
      </c>
      <c r="F2" t="s">
        <v>41</v>
      </c>
    </row>
    <row r="3" spans="1:10" x14ac:dyDescent="0.25">
      <c r="B3" t="s">
        <v>2</v>
      </c>
      <c r="C3">
        <f>'РГ-Т'!F7</f>
        <v>0</v>
      </c>
      <c r="E3">
        <v>50</v>
      </c>
      <c r="F3" t="s">
        <v>42</v>
      </c>
      <c r="I3" s="12"/>
      <c r="J3" s="12"/>
    </row>
    <row r="4" spans="1:10" x14ac:dyDescent="0.25">
      <c r="B4" t="s">
        <v>3</v>
      </c>
      <c r="C4">
        <f>'РГ-Т'!F9</f>
        <v>0</v>
      </c>
      <c r="E4">
        <v>80</v>
      </c>
      <c r="F4" t="s">
        <v>43</v>
      </c>
      <c r="I4" s="12"/>
      <c r="J4" s="12"/>
    </row>
    <row r="5" spans="1:10" x14ac:dyDescent="0.25">
      <c r="B5" t="s">
        <v>4</v>
      </c>
      <c r="C5">
        <f>'РГ-Т'!F11</f>
        <v>0</v>
      </c>
      <c r="E5">
        <v>100</v>
      </c>
    </row>
    <row r="6" spans="1:10" x14ac:dyDescent="0.25">
      <c r="B6" t="s">
        <v>5</v>
      </c>
      <c r="C6">
        <f>'РГ-Т'!F13</f>
        <v>0</v>
      </c>
      <c r="E6">
        <v>150</v>
      </c>
    </row>
    <row r="7" spans="1:10" x14ac:dyDescent="0.25">
      <c r="B7" t="s">
        <v>9</v>
      </c>
      <c r="C7">
        <v>0.101325</v>
      </c>
      <c r="E7">
        <v>200</v>
      </c>
    </row>
    <row r="8" spans="1:10" x14ac:dyDescent="0.25">
      <c r="B8" t="s">
        <v>7</v>
      </c>
      <c r="C8">
        <f>C2*C7/(C5+C7)</f>
        <v>0</v>
      </c>
      <c r="E8">
        <v>250</v>
      </c>
    </row>
    <row r="9" spans="1:10" x14ac:dyDescent="0.25">
      <c r="B9" t="s">
        <v>8</v>
      </c>
      <c r="C9">
        <f>C3*C7/(C4+C7)</f>
        <v>0</v>
      </c>
      <c r="E9">
        <v>300</v>
      </c>
    </row>
    <row r="11" spans="1:10" x14ac:dyDescent="0.25">
      <c r="B11" t="str">
        <f>IF(OR(ISERROR(OR(B13,B14,B17)),NOT(E12)),B12,CONCATENATE(B12," -",B13," -DN",B14," -",B15," -",B16," (",B17,")"))</f>
        <v>РГ-Т</v>
      </c>
    </row>
    <row r="12" spans="1:10" x14ac:dyDescent="0.25">
      <c r="B12" t="s">
        <v>58</v>
      </c>
      <c r="E12" t="b">
        <f>AND(ISNUMBER('РГ-Т'!F5),ISNUMBER('РГ-Т'!F7),ISNUMBER('РГ-Т'!F9),ISNUMBER('РГ-Т'!F11))</f>
        <v>0</v>
      </c>
    </row>
    <row r="13" spans="1:10" x14ac:dyDescent="0.25">
      <c r="A13" s="6" t="s">
        <v>37</v>
      </c>
      <c r="B13" s="12" t="e">
        <f>Лист3!C66</f>
        <v>#VALUE!</v>
      </c>
    </row>
    <row r="14" spans="1:10" x14ac:dyDescent="0.25">
      <c r="A14" s="6" t="s">
        <v>38</v>
      </c>
      <c r="B14" s="12" t="e">
        <f>Лист3!D66</f>
        <v>#VALUE!</v>
      </c>
      <c r="C14" s="12">
        <f>'РГ-Т'!F13</f>
        <v>0</v>
      </c>
    </row>
    <row r="15" spans="1:10" x14ac:dyDescent="0.25">
      <c r="A15" s="6" t="s">
        <v>39</v>
      </c>
      <c r="B15" t="str">
        <f>IF(C5&lt;=1.6,"PN16","PN100")</f>
        <v>PN16</v>
      </c>
    </row>
    <row r="16" spans="1:10" x14ac:dyDescent="0.25">
      <c r="A16" s="6" t="s">
        <v>40</v>
      </c>
      <c r="B16" t="str">
        <f>IF(AND(Лист3!K61=0,C16="2У"),"У",'РГ-Т'!B21)</f>
        <v>О</v>
      </c>
      <c r="C16" t="str">
        <f>'РГ-Т'!B21</f>
        <v>О</v>
      </c>
    </row>
    <row r="17" spans="1:10" x14ac:dyDescent="0.25">
      <c r="A17" s="6" t="s">
        <v>59</v>
      </c>
      <c r="B17" t="e">
        <f>Лист3!E66</f>
        <v>#VALUE!</v>
      </c>
    </row>
    <row r="18" spans="1:10" x14ac:dyDescent="0.25">
      <c r="A18" s="6"/>
    </row>
    <row r="19" spans="1:10" x14ac:dyDescent="0.25">
      <c r="A19" s="6"/>
      <c r="B19" s="12"/>
    </row>
    <row r="20" spans="1:10" x14ac:dyDescent="0.25">
      <c r="A20" s="6"/>
      <c r="B20" s="12"/>
    </row>
    <row r="22" spans="1:10" x14ac:dyDescent="0.25">
      <c r="D22" t="str">
        <f>"Примечания:"&amp;CHAR(10)</f>
        <v xml:space="preserve">Примечания:
</v>
      </c>
    </row>
    <row r="23" spans="1:10" x14ac:dyDescent="0.25">
      <c r="B23" t="b">
        <f>ISERROR(OR(B13,B14,B17))</f>
        <v>1</v>
      </c>
      <c r="C23" t="str">
        <f>IF(B23,"1. ","")</f>
        <v xml:space="preserve">1. </v>
      </c>
      <c r="D23" t="str">
        <f>IF(B23,C23&amp;E23&amp;CHAR(10),"")</f>
        <v xml:space="preserve">1. Нет подходящего типоразмера для заданных условий.
</v>
      </c>
      <c r="E23" t="s">
        <v>44</v>
      </c>
    </row>
    <row r="24" spans="1:10" x14ac:dyDescent="0.25">
      <c r="B24" t="b">
        <f>B16&lt;&gt;C16</f>
        <v>0</v>
      </c>
      <c r="C24" t="str">
        <f>IF(B24,"1. ","")</f>
        <v/>
      </c>
      <c r="D24" t="str">
        <f>IF(B23,"",IF(B24,C24&amp;E24&amp;CHAR(10),""))</f>
        <v/>
      </c>
      <c r="E24" t="s">
        <v>45</v>
      </c>
    </row>
    <row r="25" spans="1:10" x14ac:dyDescent="0.25">
      <c r="B25">
        <f>IF(AND(NOT(B23),C14&gt;0),B14&lt;&gt;C14,0)</f>
        <v>0</v>
      </c>
      <c r="C25" t="str">
        <f>IF(B25,IF(OR(B23,B24),"2. ","1. "),"")</f>
        <v/>
      </c>
      <c r="D25" t="str">
        <f>IF(B25,C25&amp;E25&amp;CHAR(10),"")</f>
        <v/>
      </c>
      <c r="E25" t="e">
        <f>CONCATENATE("На указанное Ду невозможно подобрать счетчик, предлагается замена на Ду ",TEXT(B14,"0")," мм")</f>
        <v>#VALUE!</v>
      </c>
    </row>
    <row r="26" spans="1:10" x14ac:dyDescent="0.25">
      <c r="D26" t="s">
        <v>47</v>
      </c>
    </row>
    <row r="28" spans="1:10" ht="45" customHeight="1" x14ac:dyDescent="0.25">
      <c r="D28" s="22" t="str">
        <f>IF(NOT(E12),CONCATENATE(D22,D26),IF(AND(E12,OR(B23,B24,B25)),CONCATENATE(D22,D23,D24,D25),""))</f>
        <v>Примечания:
1. Заполните все обязательные поля</v>
      </c>
      <c r="E28" s="22"/>
      <c r="F28" s="22"/>
      <c r="G28" s="22"/>
      <c r="H28" s="22"/>
      <c r="I28" s="22"/>
      <c r="J28" s="22"/>
    </row>
  </sheetData>
  <mergeCells count="1">
    <mergeCell ref="D28:J28"/>
  </mergeCells>
  <conditionalFormatting sqref="E12">
    <cfRule type="cellIs" dxfId="2" priority="1" operator="equal">
      <formula>FALSE</formula>
    </cfRule>
    <cfRule type="containsErrors" dxfId="1" priority="2">
      <formula>ISERROR(E12)</formula>
    </cfRule>
    <cfRule type="containsErrors" dxfId="0" priority="3">
      <formula>ISERROR(E12)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6"/>
  <sheetViews>
    <sheetView workbookViewId="0"/>
  </sheetViews>
  <sheetFormatPr defaultRowHeight="15" x14ac:dyDescent="0.25"/>
  <cols>
    <col min="5" max="5" width="9.140625" style="1"/>
  </cols>
  <sheetData>
    <row r="2" spans="2:10" x14ac:dyDescent="0.25">
      <c r="B2" s="3" t="s">
        <v>32</v>
      </c>
      <c r="C2" s="3" t="s">
        <v>19</v>
      </c>
      <c r="D2" s="3" t="s">
        <v>20</v>
      </c>
      <c r="E2" s="4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29</v>
      </c>
    </row>
    <row r="3" spans="2:10" x14ac:dyDescent="0.25">
      <c r="B3" s="9">
        <v>1</v>
      </c>
      <c r="C3" s="23" t="s">
        <v>12</v>
      </c>
      <c r="D3" s="23">
        <v>50</v>
      </c>
      <c r="E3" s="24" t="s">
        <v>54</v>
      </c>
      <c r="F3" s="23">
        <v>100</v>
      </c>
      <c r="G3" s="23">
        <v>5</v>
      </c>
      <c r="H3" s="25">
        <f>Лист2!$C$8-G3</f>
        <v>-5</v>
      </c>
      <c r="I3" s="25">
        <f>F3-Лист2!$C$9</f>
        <v>100</v>
      </c>
      <c r="J3" s="26" t="s">
        <v>30</v>
      </c>
    </row>
    <row r="4" spans="2:10" x14ac:dyDescent="0.25">
      <c r="B4" s="9">
        <v>2</v>
      </c>
      <c r="C4" s="23" t="s">
        <v>13</v>
      </c>
      <c r="D4" s="23">
        <v>80</v>
      </c>
      <c r="E4" s="24" t="s">
        <v>54</v>
      </c>
      <c r="F4" s="23">
        <v>160</v>
      </c>
      <c r="G4" s="2">
        <v>8</v>
      </c>
      <c r="H4" s="25">
        <f>Лист2!$C$8-G4</f>
        <v>-8</v>
      </c>
      <c r="I4" s="25">
        <f>F4-Лист2!$C$9</f>
        <v>160</v>
      </c>
      <c r="J4" s="26" t="s">
        <v>30</v>
      </c>
    </row>
    <row r="5" spans="2:10" x14ac:dyDescent="0.25">
      <c r="B5" s="9">
        <v>3</v>
      </c>
      <c r="C5" s="23" t="s">
        <v>14</v>
      </c>
      <c r="D5" s="23">
        <v>80</v>
      </c>
      <c r="E5" s="24" t="s">
        <v>54</v>
      </c>
      <c r="F5" s="23">
        <v>250</v>
      </c>
      <c r="G5" s="23">
        <v>12.5</v>
      </c>
      <c r="H5" s="25">
        <f>Лист2!$C$8-G5</f>
        <v>-12.5</v>
      </c>
      <c r="I5" s="25">
        <f>F5-Лист2!$C$9</f>
        <v>250</v>
      </c>
      <c r="J5" s="26" t="s">
        <v>30</v>
      </c>
    </row>
    <row r="6" spans="2:10" x14ac:dyDescent="0.25">
      <c r="B6" s="9">
        <v>4</v>
      </c>
      <c r="C6" s="23" t="s">
        <v>15</v>
      </c>
      <c r="D6" s="2">
        <v>80</v>
      </c>
      <c r="E6" s="24" t="s">
        <v>54</v>
      </c>
      <c r="F6" s="2">
        <v>400</v>
      </c>
      <c r="G6" s="2">
        <v>20</v>
      </c>
      <c r="H6" s="25">
        <f>Лист2!$C$8-G6</f>
        <v>-20</v>
      </c>
      <c r="I6" s="25">
        <f>F6-Лист2!$C$9</f>
        <v>400</v>
      </c>
      <c r="J6" s="26" t="s">
        <v>30</v>
      </c>
    </row>
    <row r="7" spans="2:10" x14ac:dyDescent="0.25">
      <c r="B7" s="9">
        <v>5</v>
      </c>
      <c r="C7" s="23" t="s">
        <v>15</v>
      </c>
      <c r="D7" s="2">
        <v>80</v>
      </c>
      <c r="E7" s="24" t="s">
        <v>10</v>
      </c>
      <c r="F7" s="2">
        <v>400</v>
      </c>
      <c r="G7" s="2">
        <v>13</v>
      </c>
      <c r="H7" s="25">
        <f>Лист2!$C$8-G7</f>
        <v>-13</v>
      </c>
      <c r="I7" s="25">
        <f>F7-Лист2!$C$9</f>
        <v>400</v>
      </c>
      <c r="J7" s="26" t="s">
        <v>30</v>
      </c>
    </row>
    <row r="8" spans="2:10" x14ac:dyDescent="0.25">
      <c r="B8" s="9">
        <v>6</v>
      </c>
      <c r="C8" s="23" t="s">
        <v>15</v>
      </c>
      <c r="D8" s="2">
        <v>80</v>
      </c>
      <c r="E8" s="24" t="s">
        <v>57</v>
      </c>
      <c r="F8" s="2">
        <v>400</v>
      </c>
      <c r="G8" s="2">
        <v>10</v>
      </c>
      <c r="H8" s="25">
        <f>Лист2!$C$8-G8</f>
        <v>-10</v>
      </c>
      <c r="I8" s="25">
        <f>F8-Лист2!$C$9</f>
        <v>400</v>
      </c>
      <c r="J8" s="26"/>
    </row>
    <row r="9" spans="2:10" x14ac:dyDescent="0.25">
      <c r="B9" s="9">
        <v>7</v>
      </c>
      <c r="C9" s="23" t="s">
        <v>15</v>
      </c>
      <c r="D9" s="2">
        <v>80</v>
      </c>
      <c r="E9" s="24" t="s">
        <v>11</v>
      </c>
      <c r="F9" s="2">
        <v>400</v>
      </c>
      <c r="G9" s="2">
        <v>8</v>
      </c>
      <c r="H9" s="25">
        <f>Лист2!$C$8-G9</f>
        <v>-8</v>
      </c>
      <c r="I9" s="25">
        <f>F9-Лист2!$C$9</f>
        <v>400</v>
      </c>
      <c r="J9" s="26"/>
    </row>
    <row r="10" spans="2:10" x14ac:dyDescent="0.25">
      <c r="B10" s="9">
        <v>8</v>
      </c>
      <c r="C10" s="23" t="s">
        <v>14</v>
      </c>
      <c r="D10" s="2">
        <v>100</v>
      </c>
      <c r="E10" s="24" t="s">
        <v>54</v>
      </c>
      <c r="F10" s="2">
        <v>250</v>
      </c>
      <c r="G10" s="2">
        <v>12.5</v>
      </c>
      <c r="H10" s="25">
        <f>Лист2!$C$8-G10</f>
        <v>-12.5</v>
      </c>
      <c r="I10" s="25">
        <f>F10-Лист2!$C$9</f>
        <v>250</v>
      </c>
      <c r="J10" s="26" t="s">
        <v>30</v>
      </c>
    </row>
    <row r="11" spans="2:10" x14ac:dyDescent="0.25">
      <c r="B11" s="9">
        <v>9</v>
      </c>
      <c r="C11" s="23" t="s">
        <v>15</v>
      </c>
      <c r="D11" s="2">
        <v>100</v>
      </c>
      <c r="E11" s="24" t="s">
        <v>54</v>
      </c>
      <c r="F11" s="2">
        <v>400</v>
      </c>
      <c r="G11" s="2">
        <v>20</v>
      </c>
      <c r="H11" s="25">
        <f>Лист2!$C$8-G11</f>
        <v>-20</v>
      </c>
      <c r="I11" s="25">
        <f>F11-Лист2!$C$9</f>
        <v>400</v>
      </c>
      <c r="J11" s="26" t="s">
        <v>30</v>
      </c>
    </row>
    <row r="12" spans="2:10" x14ac:dyDescent="0.25">
      <c r="B12" s="9">
        <v>10</v>
      </c>
      <c r="C12" s="23" t="s">
        <v>15</v>
      </c>
      <c r="D12" s="2">
        <v>100</v>
      </c>
      <c r="E12" s="24" t="s">
        <v>10</v>
      </c>
      <c r="F12" s="2">
        <v>400</v>
      </c>
      <c r="G12" s="2">
        <v>13</v>
      </c>
      <c r="H12" s="25">
        <f>Лист2!$C$8-G12</f>
        <v>-13</v>
      </c>
      <c r="I12" s="25">
        <f>F12-Лист2!$C$9</f>
        <v>400</v>
      </c>
      <c r="J12" s="26" t="s">
        <v>30</v>
      </c>
    </row>
    <row r="13" spans="2:10" x14ac:dyDescent="0.25">
      <c r="B13" s="9">
        <v>11</v>
      </c>
      <c r="C13" s="23" t="s">
        <v>15</v>
      </c>
      <c r="D13" s="2">
        <v>100</v>
      </c>
      <c r="E13" s="24" t="s">
        <v>57</v>
      </c>
      <c r="F13" s="2">
        <v>400</v>
      </c>
      <c r="G13" s="2">
        <v>10</v>
      </c>
      <c r="H13" s="25">
        <f>Лист2!$C$8-G13</f>
        <v>-10</v>
      </c>
      <c r="I13" s="25">
        <f>F13-Лист2!$C$9</f>
        <v>400</v>
      </c>
      <c r="J13" s="26"/>
    </row>
    <row r="14" spans="2:10" x14ac:dyDescent="0.25">
      <c r="B14" s="9">
        <v>12</v>
      </c>
      <c r="C14" s="23" t="s">
        <v>16</v>
      </c>
      <c r="D14" s="2">
        <v>100</v>
      </c>
      <c r="E14" s="24" t="s">
        <v>54</v>
      </c>
      <c r="F14" s="2">
        <v>650</v>
      </c>
      <c r="G14" s="2">
        <v>32.5</v>
      </c>
      <c r="H14" s="25">
        <f>Лист2!$C$8-G14</f>
        <v>-32.5</v>
      </c>
      <c r="I14" s="25">
        <f>F14-Лист2!$C$9</f>
        <v>650</v>
      </c>
      <c r="J14" s="26" t="s">
        <v>30</v>
      </c>
    </row>
    <row r="15" spans="2:10" x14ac:dyDescent="0.25">
      <c r="B15" s="9">
        <v>13</v>
      </c>
      <c r="C15" s="23" t="s">
        <v>16</v>
      </c>
      <c r="D15" s="2">
        <v>100</v>
      </c>
      <c r="E15" s="24" t="s">
        <v>10</v>
      </c>
      <c r="F15" s="2">
        <v>650</v>
      </c>
      <c r="G15" s="2">
        <v>21.5</v>
      </c>
      <c r="H15" s="25">
        <f>Лист2!$C$8-G15</f>
        <v>-21.5</v>
      </c>
      <c r="I15" s="25">
        <f>F15-Лист2!$C$9</f>
        <v>650</v>
      </c>
      <c r="J15" s="26" t="s">
        <v>30</v>
      </c>
    </row>
    <row r="16" spans="2:10" x14ac:dyDescent="0.25">
      <c r="B16" s="9">
        <v>14</v>
      </c>
      <c r="C16" s="23" t="s">
        <v>16</v>
      </c>
      <c r="D16" s="2">
        <v>100</v>
      </c>
      <c r="E16" s="24" t="s">
        <v>57</v>
      </c>
      <c r="F16" s="2">
        <v>650</v>
      </c>
      <c r="G16" s="2">
        <v>16</v>
      </c>
      <c r="H16" s="25">
        <f>Лист2!$C$8-G16</f>
        <v>-16</v>
      </c>
      <c r="I16" s="25">
        <f>F16-Лист2!$C$9</f>
        <v>650</v>
      </c>
      <c r="J16" s="26"/>
    </row>
    <row r="17" spans="2:10" x14ac:dyDescent="0.25">
      <c r="B17" s="9">
        <v>15</v>
      </c>
      <c r="C17" s="23" t="s">
        <v>16</v>
      </c>
      <c r="D17" s="2">
        <v>100</v>
      </c>
      <c r="E17" s="24" t="s">
        <v>11</v>
      </c>
      <c r="F17" s="2">
        <v>650</v>
      </c>
      <c r="G17" s="2">
        <v>13</v>
      </c>
      <c r="H17" s="25">
        <f>Лист2!$C$8-G17</f>
        <v>-13</v>
      </c>
      <c r="I17" s="25">
        <f>F17-Лист2!$C$9</f>
        <v>650</v>
      </c>
      <c r="J17" s="26"/>
    </row>
    <row r="18" spans="2:10" x14ac:dyDescent="0.25">
      <c r="B18" s="9">
        <v>16</v>
      </c>
      <c r="C18" s="2" t="s">
        <v>16</v>
      </c>
      <c r="D18" s="2">
        <v>150</v>
      </c>
      <c r="E18" s="24" t="s">
        <v>54</v>
      </c>
      <c r="F18" s="2">
        <v>650</v>
      </c>
      <c r="G18" s="2">
        <v>32.5</v>
      </c>
      <c r="H18" s="25">
        <f>Лист2!$C$8-G18</f>
        <v>-32.5</v>
      </c>
      <c r="I18" s="25">
        <f>F18-Лист2!$C$9</f>
        <v>650</v>
      </c>
      <c r="J18" s="26" t="s">
        <v>30</v>
      </c>
    </row>
    <row r="19" spans="2:10" x14ac:dyDescent="0.25">
      <c r="B19" s="9">
        <v>17</v>
      </c>
      <c r="C19" s="2" t="s">
        <v>17</v>
      </c>
      <c r="D19" s="2">
        <v>150</v>
      </c>
      <c r="E19" s="24" t="s">
        <v>54</v>
      </c>
      <c r="F19" s="2">
        <v>1000</v>
      </c>
      <c r="G19" s="2">
        <v>50</v>
      </c>
      <c r="H19" s="25">
        <f>Лист2!$C$8-G19</f>
        <v>-50</v>
      </c>
      <c r="I19" s="25">
        <f>F19-Лист2!$C$9</f>
        <v>1000</v>
      </c>
      <c r="J19" s="26" t="s">
        <v>30</v>
      </c>
    </row>
    <row r="20" spans="2:10" x14ac:dyDescent="0.25">
      <c r="B20" s="9">
        <v>18</v>
      </c>
      <c r="C20" s="2" t="s">
        <v>17</v>
      </c>
      <c r="D20" s="2">
        <v>150</v>
      </c>
      <c r="E20" s="24" t="s">
        <v>10</v>
      </c>
      <c r="F20" s="2">
        <v>1000</v>
      </c>
      <c r="G20" s="2">
        <v>33</v>
      </c>
      <c r="H20" s="25">
        <f>Лист2!$C$8-G20</f>
        <v>-33</v>
      </c>
      <c r="I20" s="25">
        <f>F20-Лист2!$C$9</f>
        <v>1000</v>
      </c>
      <c r="J20" s="26" t="s">
        <v>30</v>
      </c>
    </row>
    <row r="21" spans="2:10" x14ac:dyDescent="0.25">
      <c r="B21" s="9">
        <v>19</v>
      </c>
      <c r="C21" s="2" t="s">
        <v>17</v>
      </c>
      <c r="D21" s="2">
        <v>150</v>
      </c>
      <c r="E21" s="24" t="s">
        <v>57</v>
      </c>
      <c r="F21" s="2">
        <v>1000</v>
      </c>
      <c r="G21" s="2">
        <v>25</v>
      </c>
      <c r="H21" s="25">
        <f>Лист2!$C$8-G21</f>
        <v>-25</v>
      </c>
      <c r="I21" s="25">
        <f>F21-Лист2!$C$9</f>
        <v>1000</v>
      </c>
      <c r="J21" s="26"/>
    </row>
    <row r="22" spans="2:10" x14ac:dyDescent="0.25">
      <c r="B22" s="9">
        <v>20</v>
      </c>
      <c r="C22" s="2" t="s">
        <v>18</v>
      </c>
      <c r="D22" s="2">
        <v>150</v>
      </c>
      <c r="E22" s="24" t="s">
        <v>54</v>
      </c>
      <c r="F22" s="2">
        <v>1600</v>
      </c>
      <c r="G22" s="2">
        <v>80</v>
      </c>
      <c r="H22" s="25">
        <f>Лист2!$C$8-G22</f>
        <v>-80</v>
      </c>
      <c r="I22" s="25">
        <f>F22-Лист2!$C$9</f>
        <v>1600</v>
      </c>
      <c r="J22" s="26" t="s">
        <v>30</v>
      </c>
    </row>
    <row r="23" spans="2:10" x14ac:dyDescent="0.25">
      <c r="B23" s="9">
        <v>21</v>
      </c>
      <c r="C23" s="2" t="s">
        <v>18</v>
      </c>
      <c r="D23" s="2">
        <v>150</v>
      </c>
      <c r="E23" s="24" t="s">
        <v>10</v>
      </c>
      <c r="F23" s="2">
        <v>1600</v>
      </c>
      <c r="G23" s="2">
        <v>53</v>
      </c>
      <c r="H23" s="25">
        <f>Лист2!$C$8-G23</f>
        <v>-53</v>
      </c>
      <c r="I23" s="25">
        <f>F23-Лист2!$C$9</f>
        <v>1600</v>
      </c>
      <c r="J23" s="26" t="s">
        <v>30</v>
      </c>
    </row>
    <row r="24" spans="2:10" x14ac:dyDescent="0.25">
      <c r="B24" s="9">
        <v>22</v>
      </c>
      <c r="C24" s="2" t="s">
        <v>18</v>
      </c>
      <c r="D24" s="2">
        <v>150</v>
      </c>
      <c r="E24" s="24" t="s">
        <v>57</v>
      </c>
      <c r="F24" s="2">
        <v>1600</v>
      </c>
      <c r="G24" s="2">
        <v>40</v>
      </c>
      <c r="H24" s="25">
        <f>Лист2!$C$8-G24</f>
        <v>-40</v>
      </c>
      <c r="I24" s="25">
        <f>F24-Лист2!$C$9</f>
        <v>1600</v>
      </c>
      <c r="J24" s="26"/>
    </row>
    <row r="25" spans="2:10" x14ac:dyDescent="0.25">
      <c r="B25" s="9">
        <v>23</v>
      </c>
      <c r="C25" s="2" t="s">
        <v>18</v>
      </c>
      <c r="D25" s="2">
        <v>150</v>
      </c>
      <c r="E25" s="24" t="s">
        <v>11</v>
      </c>
      <c r="F25" s="2">
        <v>1600</v>
      </c>
      <c r="G25" s="2">
        <v>32</v>
      </c>
      <c r="H25" s="25">
        <f>Лист2!$C$8-G25</f>
        <v>-32</v>
      </c>
      <c r="I25" s="25">
        <f>F25-Лист2!$C$9</f>
        <v>1600</v>
      </c>
      <c r="J25" s="26"/>
    </row>
    <row r="26" spans="2:10" x14ac:dyDescent="0.25">
      <c r="B26" s="9">
        <v>24</v>
      </c>
      <c r="C26" s="2" t="s">
        <v>17</v>
      </c>
      <c r="D26" s="2">
        <v>200</v>
      </c>
      <c r="E26" s="24" t="s">
        <v>54</v>
      </c>
      <c r="F26" s="2">
        <v>1000</v>
      </c>
      <c r="G26" s="2">
        <v>50</v>
      </c>
      <c r="H26" s="25">
        <f>Лист2!$C$8-G26</f>
        <v>-50</v>
      </c>
      <c r="I26" s="25">
        <f>F26-Лист2!$C$9</f>
        <v>1000</v>
      </c>
      <c r="J26" s="26" t="s">
        <v>30</v>
      </c>
    </row>
    <row r="27" spans="2:10" x14ac:dyDescent="0.25">
      <c r="B27" s="9">
        <v>25</v>
      </c>
      <c r="C27" s="2" t="s">
        <v>18</v>
      </c>
      <c r="D27" s="2">
        <v>200</v>
      </c>
      <c r="E27" s="24" t="s">
        <v>54</v>
      </c>
      <c r="F27" s="2">
        <v>1600</v>
      </c>
      <c r="G27" s="2">
        <v>80</v>
      </c>
      <c r="H27" s="25">
        <f>Лист2!$C$8-G27</f>
        <v>-80</v>
      </c>
      <c r="I27" s="25">
        <f>F27-Лист2!$C$9</f>
        <v>1600</v>
      </c>
      <c r="J27" s="26" t="s">
        <v>30</v>
      </c>
    </row>
    <row r="28" spans="2:10" x14ac:dyDescent="0.25">
      <c r="B28" s="9">
        <v>26</v>
      </c>
      <c r="C28" s="2" t="s">
        <v>18</v>
      </c>
      <c r="D28" s="2">
        <v>200</v>
      </c>
      <c r="E28" s="24" t="s">
        <v>10</v>
      </c>
      <c r="F28" s="2">
        <v>1600</v>
      </c>
      <c r="G28" s="2">
        <v>53</v>
      </c>
      <c r="H28" s="25">
        <f>Лист2!$C$8-G28</f>
        <v>-53</v>
      </c>
      <c r="I28" s="25">
        <f>F28-Лист2!$C$9</f>
        <v>1600</v>
      </c>
      <c r="J28" s="26" t="s">
        <v>30</v>
      </c>
    </row>
    <row r="29" spans="2:10" x14ac:dyDescent="0.25">
      <c r="B29" s="9">
        <v>27</v>
      </c>
      <c r="C29" s="2" t="s">
        <v>18</v>
      </c>
      <c r="D29" s="2">
        <v>200</v>
      </c>
      <c r="E29" s="24" t="s">
        <v>57</v>
      </c>
      <c r="F29" s="2">
        <v>1600</v>
      </c>
      <c r="G29" s="2">
        <v>40</v>
      </c>
      <c r="H29" s="25">
        <f>Лист2!$C$8-G29</f>
        <v>-40</v>
      </c>
      <c r="I29" s="25">
        <f>F29-Лист2!$C$9</f>
        <v>1600</v>
      </c>
      <c r="J29" s="26"/>
    </row>
    <row r="30" spans="2:10" x14ac:dyDescent="0.25">
      <c r="B30" s="9">
        <v>28</v>
      </c>
      <c r="C30" s="2" t="s">
        <v>53</v>
      </c>
      <c r="D30" s="2">
        <v>200</v>
      </c>
      <c r="E30" s="24" t="s">
        <v>54</v>
      </c>
      <c r="F30" s="2">
        <v>2500</v>
      </c>
      <c r="G30" s="2">
        <v>125</v>
      </c>
      <c r="H30" s="25">
        <f>Лист2!$C$8-G30</f>
        <v>-125</v>
      </c>
      <c r="I30" s="25">
        <f>F30-Лист2!$C$9</f>
        <v>2500</v>
      </c>
      <c r="J30" s="26" t="s">
        <v>30</v>
      </c>
    </row>
    <row r="31" spans="2:10" x14ac:dyDescent="0.25">
      <c r="B31" s="9">
        <v>29</v>
      </c>
      <c r="C31" s="2" t="s">
        <v>53</v>
      </c>
      <c r="D31" s="2">
        <v>200</v>
      </c>
      <c r="E31" s="24" t="s">
        <v>10</v>
      </c>
      <c r="F31" s="2">
        <v>2500</v>
      </c>
      <c r="G31" s="2">
        <v>83</v>
      </c>
      <c r="H31" s="25">
        <f>Лист2!$C$8-G31</f>
        <v>-83</v>
      </c>
      <c r="I31" s="25">
        <f>F31-Лист2!$C$9</f>
        <v>2500</v>
      </c>
      <c r="J31" s="26" t="s">
        <v>30</v>
      </c>
    </row>
    <row r="32" spans="2:10" x14ac:dyDescent="0.25">
      <c r="B32" s="9">
        <v>30</v>
      </c>
      <c r="C32" s="2" t="s">
        <v>53</v>
      </c>
      <c r="D32" s="2">
        <v>200</v>
      </c>
      <c r="E32" s="24" t="s">
        <v>57</v>
      </c>
      <c r="F32" s="2">
        <v>2500</v>
      </c>
      <c r="G32" s="2">
        <v>62.5</v>
      </c>
      <c r="H32" s="25">
        <f>Лист2!$C$8-G32</f>
        <v>-62.5</v>
      </c>
      <c r="I32" s="25">
        <f>F32-Лист2!$C$9</f>
        <v>2500</v>
      </c>
      <c r="J32" s="26"/>
    </row>
    <row r="33" spans="2:10" x14ac:dyDescent="0.25">
      <c r="B33" s="9">
        <v>31</v>
      </c>
      <c r="C33" s="2" t="s">
        <v>53</v>
      </c>
      <c r="D33" s="2">
        <v>200</v>
      </c>
      <c r="E33" s="24" t="s">
        <v>11</v>
      </c>
      <c r="F33" s="2">
        <v>2500</v>
      </c>
      <c r="G33" s="2">
        <v>50</v>
      </c>
      <c r="H33" s="25">
        <f>Лист2!$C$8-G33</f>
        <v>-50</v>
      </c>
      <c r="I33" s="25">
        <f>F33-Лист2!$C$9</f>
        <v>2500</v>
      </c>
      <c r="J33" s="26"/>
    </row>
    <row r="34" spans="2:10" x14ac:dyDescent="0.25">
      <c r="B34" s="9">
        <v>32</v>
      </c>
      <c r="C34" s="2" t="s">
        <v>18</v>
      </c>
      <c r="D34" s="2">
        <v>250</v>
      </c>
      <c r="E34" s="24" t="s">
        <v>54</v>
      </c>
      <c r="F34" s="2">
        <v>1600</v>
      </c>
      <c r="G34" s="2">
        <v>80</v>
      </c>
      <c r="H34" s="25">
        <f>Лист2!$C$8-G34</f>
        <v>-80</v>
      </c>
      <c r="I34" s="25">
        <f>F34-Лист2!$C$9</f>
        <v>1600</v>
      </c>
      <c r="J34" s="26" t="s">
        <v>30</v>
      </c>
    </row>
    <row r="35" spans="2:10" x14ac:dyDescent="0.25">
      <c r="B35" s="9">
        <v>33</v>
      </c>
      <c r="C35" s="2" t="s">
        <v>53</v>
      </c>
      <c r="D35" s="2">
        <v>250</v>
      </c>
      <c r="E35" s="24" t="s">
        <v>54</v>
      </c>
      <c r="F35" s="2">
        <v>2500</v>
      </c>
      <c r="G35" s="2">
        <v>125</v>
      </c>
      <c r="H35" s="25">
        <f>Лист2!$C$8-G35</f>
        <v>-125</v>
      </c>
      <c r="I35" s="25">
        <f>F35-Лист2!$C$9</f>
        <v>2500</v>
      </c>
      <c r="J35" s="26" t="s">
        <v>30</v>
      </c>
    </row>
    <row r="36" spans="2:10" x14ac:dyDescent="0.25">
      <c r="B36" s="9">
        <v>34</v>
      </c>
      <c r="C36" s="2" t="s">
        <v>53</v>
      </c>
      <c r="D36" s="2">
        <v>250</v>
      </c>
      <c r="E36" s="24" t="s">
        <v>10</v>
      </c>
      <c r="F36" s="2">
        <v>2500</v>
      </c>
      <c r="G36" s="2">
        <v>83</v>
      </c>
      <c r="H36" s="25">
        <f>Лист2!$C$8-G36</f>
        <v>-83</v>
      </c>
      <c r="I36" s="25">
        <f>F36-Лист2!$C$9</f>
        <v>2500</v>
      </c>
      <c r="J36" s="26" t="s">
        <v>30</v>
      </c>
    </row>
    <row r="37" spans="2:10" x14ac:dyDescent="0.25">
      <c r="B37" s="9">
        <v>35</v>
      </c>
      <c r="C37" s="2" t="s">
        <v>53</v>
      </c>
      <c r="D37" s="2">
        <v>250</v>
      </c>
      <c r="E37" s="24" t="s">
        <v>57</v>
      </c>
      <c r="F37" s="2">
        <v>2500</v>
      </c>
      <c r="G37" s="2">
        <v>62.5</v>
      </c>
      <c r="H37" s="25">
        <f>Лист2!$C$8-G37</f>
        <v>-62.5</v>
      </c>
      <c r="I37" s="25">
        <f>F37-Лист2!$C$9</f>
        <v>2500</v>
      </c>
      <c r="J37" s="26"/>
    </row>
    <row r="38" spans="2:10" x14ac:dyDescent="0.25">
      <c r="B38" s="9">
        <v>36</v>
      </c>
      <c r="C38" s="2" t="s">
        <v>55</v>
      </c>
      <c r="D38" s="2">
        <v>250</v>
      </c>
      <c r="E38" s="24" t="s">
        <v>54</v>
      </c>
      <c r="F38" s="2">
        <v>4000</v>
      </c>
      <c r="G38" s="2">
        <v>200</v>
      </c>
      <c r="H38" s="25">
        <f>Лист2!$C$8-G38</f>
        <v>-200</v>
      </c>
      <c r="I38" s="25">
        <f>F38-Лист2!$C$9</f>
        <v>4000</v>
      </c>
      <c r="J38" s="26" t="s">
        <v>30</v>
      </c>
    </row>
    <row r="39" spans="2:10" x14ac:dyDescent="0.25">
      <c r="B39" s="9">
        <v>37</v>
      </c>
      <c r="C39" s="2" t="s">
        <v>55</v>
      </c>
      <c r="D39" s="2">
        <v>250</v>
      </c>
      <c r="E39" s="24" t="s">
        <v>10</v>
      </c>
      <c r="F39" s="2">
        <v>4000</v>
      </c>
      <c r="G39" s="2">
        <v>133</v>
      </c>
      <c r="H39" s="25">
        <f>Лист2!$C$8-G39</f>
        <v>-133</v>
      </c>
      <c r="I39" s="25">
        <f>F39-Лист2!$C$9</f>
        <v>4000</v>
      </c>
      <c r="J39" s="26" t="s">
        <v>30</v>
      </c>
    </row>
    <row r="40" spans="2:10" x14ac:dyDescent="0.25">
      <c r="B40" s="9">
        <v>38</v>
      </c>
      <c r="C40" s="2" t="s">
        <v>55</v>
      </c>
      <c r="D40" s="2">
        <v>250</v>
      </c>
      <c r="E40" s="24" t="s">
        <v>57</v>
      </c>
      <c r="F40" s="2">
        <v>4000</v>
      </c>
      <c r="G40" s="2">
        <v>100</v>
      </c>
      <c r="H40" s="25">
        <f>Лист2!$C$8-G40</f>
        <v>-100</v>
      </c>
      <c r="I40" s="25">
        <f>F40-Лист2!$C$9</f>
        <v>4000</v>
      </c>
      <c r="J40" s="26"/>
    </row>
    <row r="41" spans="2:10" x14ac:dyDescent="0.25">
      <c r="B41" s="9">
        <v>39</v>
      </c>
      <c r="C41" s="2" t="s">
        <v>55</v>
      </c>
      <c r="D41" s="2">
        <v>250</v>
      </c>
      <c r="E41" s="24" t="s">
        <v>11</v>
      </c>
      <c r="F41" s="2">
        <v>4000</v>
      </c>
      <c r="G41" s="2">
        <v>80</v>
      </c>
      <c r="H41" s="25">
        <f>Лист2!$C$8-G41</f>
        <v>-80</v>
      </c>
      <c r="I41" s="25">
        <f>F41-Лист2!$C$9</f>
        <v>4000</v>
      </c>
      <c r="J41" s="26"/>
    </row>
    <row r="42" spans="2:10" x14ac:dyDescent="0.25">
      <c r="B42" s="9">
        <v>40</v>
      </c>
      <c r="C42" s="2" t="s">
        <v>53</v>
      </c>
      <c r="D42" s="2">
        <v>300</v>
      </c>
      <c r="E42" s="24" t="s">
        <v>54</v>
      </c>
      <c r="F42" s="2">
        <v>2500</v>
      </c>
      <c r="G42" s="2">
        <v>125</v>
      </c>
      <c r="H42" s="25">
        <f>Лист2!$C$8-G42</f>
        <v>-125</v>
      </c>
      <c r="I42" s="25">
        <f>F42-Лист2!$C$9</f>
        <v>2500</v>
      </c>
      <c r="J42" s="26" t="s">
        <v>30</v>
      </c>
    </row>
    <row r="43" spans="2:10" x14ac:dyDescent="0.25">
      <c r="B43" s="9">
        <v>41</v>
      </c>
      <c r="C43" s="2" t="s">
        <v>55</v>
      </c>
      <c r="D43" s="2">
        <v>300</v>
      </c>
      <c r="E43" s="24" t="s">
        <v>54</v>
      </c>
      <c r="F43" s="2">
        <v>4000</v>
      </c>
      <c r="G43" s="2">
        <v>200</v>
      </c>
      <c r="H43" s="25">
        <f>Лист2!$C$8-G43</f>
        <v>-200</v>
      </c>
      <c r="I43" s="25">
        <f>F43-Лист2!$C$9</f>
        <v>4000</v>
      </c>
      <c r="J43" s="26" t="s">
        <v>30</v>
      </c>
    </row>
    <row r="44" spans="2:10" x14ac:dyDescent="0.25">
      <c r="B44" s="9">
        <v>42</v>
      </c>
      <c r="C44" s="2" t="s">
        <v>55</v>
      </c>
      <c r="D44" s="2">
        <v>300</v>
      </c>
      <c r="E44" s="24" t="s">
        <v>10</v>
      </c>
      <c r="F44" s="2">
        <v>4000</v>
      </c>
      <c r="G44" s="2">
        <v>133</v>
      </c>
      <c r="H44" s="25">
        <f>Лист2!$C$8-G44</f>
        <v>-133</v>
      </c>
      <c r="I44" s="25">
        <f>F44-Лист2!$C$9</f>
        <v>4000</v>
      </c>
      <c r="J44" s="26" t="s">
        <v>30</v>
      </c>
    </row>
    <row r="45" spans="2:10" x14ac:dyDescent="0.25">
      <c r="B45" s="9">
        <v>43</v>
      </c>
      <c r="C45" s="2" t="s">
        <v>55</v>
      </c>
      <c r="D45" s="2">
        <v>300</v>
      </c>
      <c r="E45" s="24" t="s">
        <v>57</v>
      </c>
      <c r="F45" s="2">
        <v>4000</v>
      </c>
      <c r="G45" s="2">
        <v>100</v>
      </c>
      <c r="H45" s="25">
        <f>Лист2!$C$8-G45</f>
        <v>-100</v>
      </c>
      <c r="I45" s="25">
        <f>F45-Лист2!$C$9</f>
        <v>4000</v>
      </c>
      <c r="J45" s="26"/>
    </row>
    <row r="46" spans="2:10" x14ac:dyDescent="0.25">
      <c r="B46" s="9">
        <v>44</v>
      </c>
      <c r="C46" s="2" t="s">
        <v>56</v>
      </c>
      <c r="D46" s="2">
        <v>300</v>
      </c>
      <c r="E46" s="24" t="s">
        <v>54</v>
      </c>
      <c r="F46" s="2">
        <v>6500</v>
      </c>
      <c r="G46" s="2">
        <v>325</v>
      </c>
      <c r="H46" s="25">
        <f>Лист2!$C$8-G46</f>
        <v>-325</v>
      </c>
      <c r="I46" s="25">
        <f>F46-Лист2!$C$9</f>
        <v>6500</v>
      </c>
      <c r="J46" s="26" t="s">
        <v>30</v>
      </c>
    </row>
    <row r="47" spans="2:10" x14ac:dyDescent="0.25">
      <c r="B47" s="9">
        <v>45</v>
      </c>
      <c r="C47" s="2" t="s">
        <v>56</v>
      </c>
      <c r="D47" s="2">
        <v>300</v>
      </c>
      <c r="E47" s="24" t="s">
        <v>10</v>
      </c>
      <c r="F47" s="2">
        <v>6500</v>
      </c>
      <c r="G47" s="2">
        <v>216.5</v>
      </c>
      <c r="H47" s="25">
        <f>Лист2!$C$8-G47</f>
        <v>-216.5</v>
      </c>
      <c r="I47" s="25">
        <f>F47-Лист2!$C$9</f>
        <v>6500</v>
      </c>
      <c r="J47" s="26" t="s">
        <v>30</v>
      </c>
    </row>
    <row r="48" spans="2:10" x14ac:dyDescent="0.25">
      <c r="B48" s="9">
        <v>46</v>
      </c>
      <c r="C48" s="2" t="s">
        <v>56</v>
      </c>
      <c r="D48" s="2">
        <v>300</v>
      </c>
      <c r="E48" s="24" t="s">
        <v>57</v>
      </c>
      <c r="F48" s="2">
        <v>6500</v>
      </c>
      <c r="G48" s="2">
        <v>162.5</v>
      </c>
      <c r="H48" s="25">
        <f>Лист2!$C$8-G48</f>
        <v>-162.5</v>
      </c>
      <c r="I48" s="25">
        <f>F48-Лист2!$C$9</f>
        <v>6500</v>
      </c>
      <c r="J48" s="26"/>
    </row>
    <row r="49" spans="2:12" x14ac:dyDescent="0.25">
      <c r="B49" s="9">
        <v>47</v>
      </c>
      <c r="C49" s="2" t="s">
        <v>56</v>
      </c>
      <c r="D49" s="2">
        <v>300</v>
      </c>
      <c r="E49" s="24" t="s">
        <v>11</v>
      </c>
      <c r="F49" s="2">
        <v>6500</v>
      </c>
      <c r="G49" s="2">
        <v>130</v>
      </c>
      <c r="H49" s="25">
        <f>Лист2!$C$8-G49</f>
        <v>-130</v>
      </c>
      <c r="I49" s="25">
        <f>F49-Лист2!$C$9</f>
        <v>6500</v>
      </c>
      <c r="J49" s="26"/>
    </row>
    <row r="50" spans="2:12" x14ac:dyDescent="0.25">
      <c r="B50" s="23"/>
      <c r="C50" s="23"/>
      <c r="D50" s="23"/>
      <c r="E50" s="24"/>
      <c r="F50" s="23"/>
      <c r="G50" s="23"/>
      <c r="H50" s="23"/>
      <c r="I50" s="23"/>
      <c r="J50" s="23"/>
    </row>
    <row r="52" spans="2:12" x14ac:dyDescent="0.25">
      <c r="B52" s="3" t="s">
        <v>32</v>
      </c>
      <c r="C52" s="3" t="s">
        <v>19</v>
      </c>
      <c r="D52" s="3" t="s">
        <v>20</v>
      </c>
      <c r="E52" s="4" t="s">
        <v>21</v>
      </c>
      <c r="F52" s="3" t="s">
        <v>22</v>
      </c>
      <c r="G52" s="3" t="s">
        <v>23</v>
      </c>
      <c r="H52" s="3" t="s">
        <v>24</v>
      </c>
      <c r="I52" s="3" t="s">
        <v>25</v>
      </c>
      <c r="J52" s="3" t="s">
        <v>29</v>
      </c>
      <c r="K52" s="3">
        <f>DMIN($B$2:$J$49,3,B52:J53)</f>
        <v>0</v>
      </c>
      <c r="L52" s="8" t="s">
        <v>31</v>
      </c>
    </row>
    <row r="53" spans="2:12" x14ac:dyDescent="0.25">
      <c r="H53" s="5" t="s">
        <v>28</v>
      </c>
      <c r="I53" s="5" t="s">
        <v>28</v>
      </c>
    </row>
    <row r="55" spans="2:12" x14ac:dyDescent="0.25">
      <c r="B55" s="3" t="s">
        <v>32</v>
      </c>
      <c r="C55" s="3" t="s">
        <v>19</v>
      </c>
      <c r="D55" s="3" t="s">
        <v>20</v>
      </c>
      <c r="E55" s="4" t="s">
        <v>21</v>
      </c>
      <c r="F55" s="3" t="s">
        <v>22</v>
      </c>
      <c r="G55" s="3" t="s">
        <v>23</v>
      </c>
      <c r="H55" s="3" t="s">
        <v>24</v>
      </c>
      <c r="I55" s="3" t="s">
        <v>25</v>
      </c>
      <c r="K55" s="3">
        <f>DCOUNTA($B$2:$J$49,3,B55:J56)</f>
        <v>0</v>
      </c>
      <c r="L55" s="8" t="s">
        <v>33</v>
      </c>
    </row>
    <row r="56" spans="2:12" x14ac:dyDescent="0.25">
      <c r="D56" s="10" t="str">
        <f>IF(Лист2!C6&gt;0,Лист2!C6,"")</f>
        <v/>
      </c>
      <c r="H56" s="5" t="s">
        <v>28</v>
      </c>
      <c r="I56" s="5" t="s">
        <v>28</v>
      </c>
    </row>
    <row r="58" spans="2:12" x14ac:dyDescent="0.25">
      <c r="B58" s="3" t="s">
        <v>32</v>
      </c>
      <c r="C58" s="3" t="s">
        <v>19</v>
      </c>
      <c r="D58" s="3" t="s">
        <v>20</v>
      </c>
      <c r="E58" s="4" t="s">
        <v>21</v>
      </c>
      <c r="F58" s="3" t="s">
        <v>22</v>
      </c>
      <c r="G58" s="3" t="s">
        <v>23</v>
      </c>
      <c r="H58" s="3" t="s">
        <v>24</v>
      </c>
      <c r="I58" s="3" t="s">
        <v>25</v>
      </c>
      <c r="J58" s="3" t="s">
        <v>29</v>
      </c>
      <c r="K58" s="3">
        <f>DMIN($B$2:$J$49,1,B58:J59)</f>
        <v>0</v>
      </c>
      <c r="L58" s="8" t="s">
        <v>34</v>
      </c>
    </row>
    <row r="59" spans="2:12" x14ac:dyDescent="0.25">
      <c r="D59" s="6">
        <f>IF(K55&gt;0,D56,K52)</f>
        <v>0</v>
      </c>
      <c r="H59" s="5" t="s">
        <v>28</v>
      </c>
      <c r="I59" s="5" t="s">
        <v>28</v>
      </c>
    </row>
    <row r="60" spans="2:12" x14ac:dyDescent="0.25">
      <c r="D60" s="6"/>
      <c r="H60" s="5"/>
      <c r="I60" s="5"/>
    </row>
    <row r="61" spans="2:12" x14ac:dyDescent="0.25">
      <c r="B61" s="3" t="s">
        <v>32</v>
      </c>
      <c r="C61" s="3" t="s">
        <v>19</v>
      </c>
      <c r="D61" s="3" t="s">
        <v>20</v>
      </c>
      <c r="E61" s="4" t="s">
        <v>21</v>
      </c>
      <c r="F61" s="3" t="s">
        <v>22</v>
      </c>
      <c r="G61" s="3" t="s">
        <v>23</v>
      </c>
      <c r="H61" s="3" t="s">
        <v>24</v>
      </c>
      <c r="I61" s="3" t="s">
        <v>25</v>
      </c>
      <c r="J61" s="3" t="s">
        <v>29</v>
      </c>
      <c r="K61" s="3">
        <f>DMIN($B$2:$J$49,1,B61:J62)</f>
        <v>0</v>
      </c>
      <c r="L61" s="8" t="s">
        <v>35</v>
      </c>
    </row>
    <row r="62" spans="2:12" x14ac:dyDescent="0.25">
      <c r="D62" s="6">
        <f>IF(K58&gt;0,D59,K55)</f>
        <v>0</v>
      </c>
      <c r="H62" s="5" t="s">
        <v>28</v>
      </c>
      <c r="I62" s="5" t="s">
        <v>28</v>
      </c>
      <c r="J62" s="6" t="s">
        <v>30</v>
      </c>
    </row>
    <row r="64" spans="2:12" x14ac:dyDescent="0.25">
      <c r="B64" s="3" t="s">
        <v>32</v>
      </c>
      <c r="C64" s="3" t="s">
        <v>19</v>
      </c>
      <c r="D64" s="3" t="s">
        <v>20</v>
      </c>
      <c r="E64" s="4" t="s">
        <v>21</v>
      </c>
      <c r="F64" s="3" t="s">
        <v>22</v>
      </c>
      <c r="G64" s="3" t="s">
        <v>23</v>
      </c>
      <c r="H64" s="3" t="s">
        <v>24</v>
      </c>
      <c r="I64" s="3" t="s">
        <v>25</v>
      </c>
      <c r="J64" s="3" t="s">
        <v>29</v>
      </c>
      <c r="K64" s="3"/>
      <c r="L64" s="8" t="s">
        <v>36</v>
      </c>
    </row>
    <row r="65" spans="2:9" x14ac:dyDescent="0.25">
      <c r="B65" s="6">
        <f>IF(K61&lt;&gt;0,MIN(K58,K61),K58)</f>
        <v>0</v>
      </c>
      <c r="D65" s="6"/>
      <c r="H65" s="5"/>
      <c r="I65" s="5"/>
    </row>
    <row r="66" spans="2:9" x14ac:dyDescent="0.25">
      <c r="C66" s="11" t="e">
        <f>DGET($B$2:$J$49,2,B64:J65)</f>
        <v>#VALUE!</v>
      </c>
      <c r="D66" s="11" t="e">
        <f>DGET($B$2:$J$49,3,B64:J65)</f>
        <v>#VALUE!</v>
      </c>
      <c r="E66" s="11" t="e">
        <f>DGET($B$2:$J$49,4,B64:J65)</f>
        <v>#VALUE!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РГ-Т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2023-06-03T19:26:18Z</dcterms:modified>
  <cp:contentStatus/>
</cp:coreProperties>
</file>